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5195" windowHeight="92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 </author>
    <author>Jack_Mayer</author>
  </authors>
  <commentList>
    <comment ref="B27" authorId="0">
      <text>
        <r>
          <rPr>
            <b/>
            <sz val="8"/>
            <rFont val="Tahoma"/>
            <family val="0"/>
          </rPr>
          <t xml:space="preserve"> Assumes 9.3 gal avail  in 40 lg tank, and 8hr runtime on tank</t>
        </r>
      </text>
    </comment>
    <comment ref="C75" authorId="1">
      <text>
        <r>
          <rPr>
            <b/>
            <sz val="9"/>
            <rFont val="Tahoma"/>
            <family val="2"/>
          </rPr>
          <t>Jack_Mayer:</t>
        </r>
        <r>
          <rPr>
            <sz val="9"/>
            <rFont val="Tahoma"/>
            <family val="2"/>
          </rPr>
          <t xml:space="preserve">
Includes whole RV parasitic draw</t>
        </r>
      </text>
    </comment>
  </commentList>
</comments>
</file>

<file path=xl/sharedStrings.xml><?xml version="1.0" encoding="utf-8"?>
<sst xmlns="http://schemas.openxmlformats.org/spreadsheetml/2006/main" count="137" uniqueCount="113">
  <si>
    <t>AmpHours</t>
  </si>
  <si>
    <t>Charger output</t>
  </si>
  <si>
    <t>Hours solar</t>
  </si>
  <si>
    <t>Solar Gain</t>
  </si>
  <si>
    <t>Solar Efficiency factor</t>
  </si>
  <si>
    <t>Boosted</t>
  </si>
  <si>
    <t>Solar Boost factor</t>
  </si>
  <si>
    <t>Run Hours</t>
  </si>
  <si>
    <t>Gal. used</t>
  </si>
  <si>
    <t>Gen. Propane gal/hr</t>
  </si>
  <si>
    <t>Days on Tank</t>
  </si>
  <si>
    <t>Gal. Avail in 40# tank</t>
  </si>
  <si>
    <t>Total Ah gain from solar and generator at various combinations</t>
  </si>
  <si>
    <t>Refrigerator</t>
  </si>
  <si>
    <t>Model</t>
  </si>
  <si>
    <t>Jennair  # jfc2290 vtb</t>
  </si>
  <si>
    <t>KWh/day</t>
  </si>
  <si>
    <t>volts=watts/amps</t>
  </si>
  <si>
    <t>Amps@120V</t>
  </si>
  <si>
    <t>amps=watts/volts</t>
  </si>
  <si>
    <t>watts=amps*Volts</t>
  </si>
  <si>
    <t>Samsung RB195ACPN</t>
  </si>
  <si>
    <t>1kW=83.33 Ahs</t>
  </si>
  <si>
    <t>Solar panel rating (Imp)</t>
  </si>
  <si>
    <t>Generator Gain (Propane Genset)</t>
  </si>
  <si>
    <t>Ah DC</t>
  </si>
  <si>
    <t>Refrigerator Draw (24hrs)</t>
  </si>
  <si>
    <t>Variable that can be changed and will effect calculations</t>
  </si>
  <si>
    <t>RV parasitic draw/hr</t>
  </si>
  <si>
    <t># Panels</t>
  </si>
  <si>
    <t>Panels (Imp)</t>
  </si>
  <si>
    <t>Battery Bank</t>
  </si>
  <si>
    <t>GPL-8DL</t>
  </si>
  <si>
    <t>Useable Watts (50%)</t>
  </si>
  <si>
    <t>Useable Watts (30%)</t>
  </si>
  <si>
    <t>Max Usable Amps (50%)</t>
  </si>
  <si>
    <t>Total Power Used</t>
  </si>
  <si>
    <t>Power Created</t>
  </si>
  <si>
    <t>Power Used</t>
  </si>
  <si>
    <t>Power Stored</t>
  </si>
  <si>
    <t>Variables and Constants</t>
  </si>
  <si>
    <t>RV draw/12 hrs (day, non-parasitic)</t>
  </si>
  <si>
    <t>RV draw/12 hrs (day, parasitic)</t>
  </si>
  <si>
    <t>Non-refrigerator draw/12 hyrs (overnight)</t>
  </si>
  <si>
    <t>Total Amps</t>
  </si>
  <si>
    <t>Total Watts</t>
  </si>
  <si>
    <t>Instructions</t>
  </si>
  <si>
    <t xml:space="preserve">This will give you an "idea" of how your system will operate, but you will have to play with the numbers. </t>
  </si>
  <si>
    <t>This is your daytime use, not counting parasitic draw.</t>
  </si>
  <si>
    <t>Parasitc draw for balance of 24 hr period</t>
  </si>
  <si>
    <t xml:space="preserve">You can change the "Total Amps" number to reflect the battery type you are using. If using 6 volt batteries make that </t>
  </si>
  <si>
    <t>It is easiest to deal with watts, here. Your total "Power Used" calculated above should ideally be less than</t>
  </si>
  <si>
    <t>Formulas</t>
  </si>
  <si>
    <t>KWh/year</t>
  </si>
  <si>
    <t xml:space="preserve">Amps @ 12V </t>
  </si>
  <si>
    <t>The KWh/year figures are from the Energy Star ratings, and do not reflect adjustments to use like no defrost, no icemaker, and minimal opening.</t>
  </si>
  <si>
    <t>This is consistent with it's Energy Star rating.</t>
  </si>
  <si>
    <t>Assumes MPPT controller. It is 0 with a PWM controller</t>
  </si>
  <si>
    <t>No higher…might make less.</t>
  </si>
  <si>
    <t>Change for your charger size. You only get peak output during bulk with low batteries.</t>
  </si>
  <si>
    <t xml:space="preserve">Generator power gains are very dependent on battery type and deficit. Once Bulk charging tapers </t>
  </si>
  <si>
    <t xml:space="preserve">Use the table below as an "estimate" of the number of panels and genset time required to build the battery bank up to a zero deficit each day. The "Total Power Used" number must be restored before the </t>
  </si>
  <si>
    <t>There are three key figures here. "Total Power Used", the "Power Created" table, and the battery bank "Storage" table. Vary the number of panels and battery bank size to make sure it covers your</t>
  </si>
  <si>
    <t>projected "Total Power Used" number.</t>
  </si>
  <si>
    <r>
      <t xml:space="preserve">Enter the items specific to your situation in the variables and constants area. The </t>
    </r>
    <r>
      <rPr>
        <sz val="10"/>
        <color indexed="51"/>
        <rFont val="Arial"/>
        <family val="2"/>
      </rPr>
      <t>orange shaded</t>
    </r>
    <r>
      <rPr>
        <sz val="10"/>
        <rFont val="Arial"/>
        <family val="0"/>
      </rPr>
      <t xml:space="preserve"> items are changeable. The rest are not. The parasitic draw is an average that works for</t>
    </r>
  </si>
  <si>
    <t>Enter for your RV assumes 12 hr evening period. Includes parasitic draw, TV, etc. This is a good overnight average for most people.</t>
  </si>
  <si>
    <t># Batteries</t>
  </si>
  <si>
    <t xml:space="preserve">get a "jump" on bulk charging. Especially if you have AGM batteries, which will take full charger </t>
  </si>
  <si>
    <t>output if low.</t>
  </si>
  <si>
    <t>Lifeline (12 volt)</t>
  </si>
  <si>
    <t>most people, but if you have a more accurate number, please update it. The solar panel rating should be changed for your panels. As should the refrigerator electrical consumption.</t>
  </si>
  <si>
    <t>during Absorption and Float. The gain from genset is reduced on longer runs due to coming out of Bulk mode</t>
  </si>
  <si>
    <t>down there is no benefit to running the genset for just charging. Solar charging is more efficient</t>
  </si>
  <si>
    <t>Note: you can reduce the refrigerator usage by at least 250 watts/day by turning off the icemaker</t>
  </si>
  <si>
    <t>Generator propane use. Modify for your genset. Use something around the 50% load rating. You can change this to diesel use, but be careful calculations work.</t>
  </si>
  <si>
    <t>battery bank deficit hits 50%. The "Days on Tank" number is for propane gensets. It will not apply if you substitute diesel or gas instead of propane.</t>
  </si>
  <si>
    <t>If you got this off of jackdanmayer.com you might want to email me and ask if I have an updated version. The newest is not always on the web - although I try.</t>
  </si>
  <si>
    <t>Orange is in DC amps, calculated is in watt-hours</t>
  </si>
  <si>
    <t>Watt-Hours</t>
  </si>
  <si>
    <t>Daily Usage (Watt-Hours)</t>
  </si>
  <si>
    <t>An RV refrigerator uses 25-35 Ah DC on propane because of the 12V controls. This equates to about 375 watt-hours</t>
  </si>
  <si>
    <t>Turning off defrost on the residential refrigerator while boondocking will decrease power usage significantly.</t>
  </si>
  <si>
    <t>This section will tell you how many batteries you need. Your goal should be to start each night with a full charge in your batteries, and have some reserve in case you have no solar gain that day and can not "fill".</t>
  </si>
  <si>
    <t xml:space="preserve">the 30% number, but it is acceptable if it is between the 30%-50% range. </t>
  </si>
  <si>
    <t>Samsung RFG238AARS</t>
  </si>
  <si>
    <t>23cf counter depth 35 3/4 wide</t>
  </si>
  <si>
    <t>Samsung RF197ACPN or ACRS</t>
  </si>
  <si>
    <t>32 1/4 wide. This refrigerator in actual use measured with a Kill-o-watt uses about 95 Ahs per day, or 1200 Whs, in normal use -no conservation.</t>
  </si>
  <si>
    <t>19 cf counter depth - all these Samsung Refrigerators can run on MSW inverters.</t>
  </si>
  <si>
    <t>Frigidaire FGTC2349KS 23 cf side by side with panel kit http://www.ajmadison.com/cgi-bin/ajmadison/FGTC2349KS.html</t>
  </si>
  <si>
    <t>Insert the Watt-Hours from the Refrigerator table below - or enter your own numbers.</t>
  </si>
  <si>
    <t>WattHours</t>
  </si>
  <si>
    <t>WattHours will be conservative since 13 volts was used in calculation</t>
  </si>
  <si>
    <t>Panels (Watts)</t>
  </si>
  <si>
    <t>Solar panel rating (Watts)</t>
  </si>
  <si>
    <t>WattHours with Generator</t>
  </si>
  <si>
    <t>Solar WattHours Generated Daily</t>
  </si>
  <si>
    <t>Solar AmpHours Generated Daily</t>
  </si>
  <si>
    <t>AmpHours with Generator</t>
  </si>
  <si>
    <r>
      <t xml:space="preserve">There are four sections below. The </t>
    </r>
    <r>
      <rPr>
        <b/>
        <sz val="10"/>
        <rFont val="Arial"/>
        <family val="2"/>
      </rPr>
      <t>Variables and Constants</t>
    </r>
    <r>
      <rPr>
        <sz val="10"/>
        <rFont val="Arial"/>
        <family val="2"/>
      </rPr>
      <t xml:space="preserve"> is where you enter your basic system info. The </t>
    </r>
    <r>
      <rPr>
        <b/>
        <sz val="10"/>
        <rFont val="Arial"/>
        <family val="2"/>
      </rPr>
      <t>Power Created</t>
    </r>
    <r>
      <rPr>
        <sz val="10"/>
        <rFont val="Arial"/>
        <family val="2"/>
      </rPr>
      <t xml:space="preserve"> section calculates your solar and generator power on a daily basis.</t>
    </r>
  </si>
  <si>
    <r>
      <t xml:space="preserve">The </t>
    </r>
    <r>
      <rPr>
        <b/>
        <sz val="10"/>
        <rFont val="Arial"/>
        <family val="2"/>
      </rPr>
      <t xml:space="preserve">Power Stored </t>
    </r>
    <r>
      <rPr>
        <sz val="10"/>
        <rFont val="Arial"/>
        <family val="2"/>
      </rPr>
      <t>section is used for your battery bank.</t>
    </r>
  </si>
  <si>
    <t>If you are using "high voltage" panels you MUST use this table and work in WattHours</t>
  </si>
  <si>
    <t>Tables show total power gained from solar plus various generator run times.</t>
  </si>
  <si>
    <t>You can use this table if you use nominal 12 volt panels.</t>
  </si>
  <si>
    <t>This table does not account for high voltage panels because it uses Imp in calculations.</t>
  </si>
  <si>
    <t xml:space="preserve">We recommend that you run your genset for at least a half an hour in the morning to make coffee, and </t>
  </si>
  <si>
    <t>If working in WattHours you only need the panel watts. Don't use Imp.</t>
  </si>
  <si>
    <t>If working in AmpHours with nominal 12-volt panels enter Imp as well as panel watts. Don't use this for high voltage panels.</t>
  </si>
  <si>
    <t>Accounts for wire loss, battery conversion inefficiencies, flat panels, etc.</t>
  </si>
  <si>
    <t>It is better to work in WattHours, anyway.</t>
  </si>
  <si>
    <t>The tables in Power Created allow you to work in AmpHours or WattHours. I recommend WattHours. In the end it is simpler. If you are using high voltage panels you MUST work in watthours</t>
  </si>
  <si>
    <r>
      <t xml:space="preserve">The </t>
    </r>
    <r>
      <rPr>
        <b/>
        <sz val="10"/>
        <rFont val="Arial"/>
        <family val="2"/>
      </rPr>
      <t>Power Used</t>
    </r>
    <r>
      <rPr>
        <sz val="10"/>
        <rFont val="Arial"/>
        <family val="2"/>
      </rPr>
      <t xml:space="preserve"> section estimates your power consumption for a 24hr period. It takes into account parasitic draw and the residential refrigerator you specified, and estimates the rest of the "house" loads.</t>
    </r>
  </si>
  <si>
    <t>the amps derived from a pair of batteries (the 3 batteries number will not be correct for 6 volt pairs). All the rest of the numbers will be calculated from that.</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</si>
</sst>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quot;Yes&quot;;&quot;Yes&quot;;&quot;No&quot;"/>
    <numFmt numFmtId="168" formatCode="&quot;True&quot;;&quot;True&quot;;&quot;False&quot;"/>
    <numFmt numFmtId="169" formatCode="&quot;On&quot;;&quot;On&quot;;&quot;Off&quot;"/>
    <numFmt numFmtId="170" formatCode="[$€-2]\ #,##0.00_);[Red]\([$€-2]\ #,##0.00\)"/>
    <numFmt numFmtId="171" formatCode="0.000000"/>
    <numFmt numFmtId="172" formatCode="0.00000"/>
  </numFmts>
  <fonts count="51">
    <font>
      <sz val="10"/>
      <name val="Arial"/>
      <family val="0"/>
    </font>
    <font>
      <sz val="8"/>
      <name val="Arial"/>
      <family val="0"/>
    </font>
    <font>
      <b/>
      <sz val="8"/>
      <name val="Tahoma"/>
      <family val="0"/>
    </font>
    <font>
      <sz val="9"/>
      <name val="Tahoma"/>
      <family val="2"/>
    </font>
    <font>
      <b/>
      <sz val="9"/>
      <name val="Tahoma"/>
      <family val="2"/>
    </font>
    <font>
      <sz val="10"/>
      <color indexed="51"/>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56"/>
      <name val="Comic Sans MS"/>
      <family val="4"/>
    </font>
    <font>
      <b/>
      <sz val="14"/>
      <color indexed="8"/>
      <name val="Calibri"/>
      <family val="2"/>
    </font>
    <font>
      <b/>
      <sz val="12"/>
      <color indexed="8"/>
      <name val="Calibri"/>
      <family val="2"/>
    </font>
    <font>
      <b/>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1F497D"/>
      <name val="Comic Sans MS"/>
      <family val="4"/>
    </font>
    <font>
      <b/>
      <sz val="14"/>
      <color theme="1"/>
      <name val="Calibri"/>
      <family val="2"/>
    </font>
    <font>
      <b/>
      <sz val="12"/>
      <color theme="1"/>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9"/>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rgb="FFFFC000"/>
        <bgColor indexed="64"/>
      </patternFill>
    </fill>
    <fill>
      <patternFill patternType="solid">
        <fgColor theme="3" tint="0.5999900102615356"/>
        <bgColor indexed="64"/>
      </patternFill>
    </fill>
    <fill>
      <patternFill patternType="solid">
        <fgColor theme="0" tint="-0.04997999966144562"/>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style="thin"/>
      <right style="thin"/>
      <top style="thin"/>
      <bottom>
        <color indexed="63"/>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3">
    <xf numFmtId="0" fontId="0" fillId="0" borderId="0" xfId="0" applyAlignment="1">
      <alignment/>
    </xf>
    <xf numFmtId="1" fontId="0" fillId="0" borderId="0" xfId="0" applyNumberFormat="1" applyAlignment="1">
      <alignment/>
    </xf>
    <xf numFmtId="0" fontId="0" fillId="33" borderId="0" xfId="0" applyFill="1" applyAlignment="1">
      <alignment/>
    </xf>
    <xf numFmtId="1" fontId="0" fillId="0" borderId="0" xfId="0" applyNumberFormat="1" applyAlignment="1">
      <alignment horizontal="left" indent="3"/>
    </xf>
    <xf numFmtId="0" fontId="0" fillId="0" borderId="0" xfId="0" applyAlignment="1">
      <alignment/>
    </xf>
    <xf numFmtId="1" fontId="0" fillId="0" borderId="10" xfId="0" applyNumberFormat="1" applyBorder="1" applyAlignment="1">
      <alignment/>
    </xf>
    <xf numFmtId="0" fontId="0" fillId="0" borderId="11" xfId="0" applyBorder="1" applyAlignment="1">
      <alignment/>
    </xf>
    <xf numFmtId="2" fontId="0" fillId="0" borderId="12" xfId="0" applyNumberFormat="1" applyBorder="1" applyAlignment="1">
      <alignment/>
    </xf>
    <xf numFmtId="0" fontId="0" fillId="34" borderId="12" xfId="0" applyFill="1" applyBorder="1" applyAlignment="1">
      <alignment/>
    </xf>
    <xf numFmtId="1" fontId="0" fillId="34" borderId="12" xfId="0" applyNumberFormat="1" applyFill="1" applyBorder="1" applyAlignment="1">
      <alignment/>
    </xf>
    <xf numFmtId="0" fontId="0" fillId="0" borderId="12" xfId="0" applyFill="1" applyBorder="1" applyAlignment="1">
      <alignment/>
    </xf>
    <xf numFmtId="164" fontId="0" fillId="0" borderId="11" xfId="0" applyNumberFormat="1" applyBorder="1" applyAlignment="1">
      <alignment/>
    </xf>
    <xf numFmtId="0" fontId="47" fillId="0" borderId="0" xfId="0" applyFont="1" applyAlignment="1">
      <alignment/>
    </xf>
    <xf numFmtId="0" fontId="48" fillId="35" borderId="0" xfId="0" applyFont="1" applyFill="1" applyAlignment="1">
      <alignment/>
    </xf>
    <xf numFmtId="0" fontId="0" fillId="36" borderId="0" xfId="0" applyFill="1" applyAlignment="1">
      <alignment/>
    </xf>
    <xf numFmtId="2" fontId="0" fillId="0" borderId="0" xfId="0" applyNumberFormat="1" applyAlignment="1">
      <alignment/>
    </xf>
    <xf numFmtId="164" fontId="0" fillId="0" borderId="0" xfId="0" applyNumberFormat="1" applyAlignment="1">
      <alignment/>
    </xf>
    <xf numFmtId="0" fontId="39" fillId="0" borderId="0" xfId="52" applyAlignment="1" applyProtection="1">
      <alignment/>
      <protection/>
    </xf>
    <xf numFmtId="0" fontId="0" fillId="0" borderId="0" xfId="0" applyFont="1" applyAlignment="1">
      <alignment wrapText="1"/>
    </xf>
    <xf numFmtId="0" fontId="0" fillId="0" borderId="0" xfId="0" applyFont="1" applyAlignment="1">
      <alignment/>
    </xf>
    <xf numFmtId="0" fontId="0" fillId="36" borderId="0" xfId="0" applyFont="1" applyFill="1" applyAlignment="1">
      <alignment wrapText="1"/>
    </xf>
    <xf numFmtId="0" fontId="0" fillId="33" borderId="0" xfId="0" applyFont="1" applyFill="1" applyAlignment="1">
      <alignment/>
    </xf>
    <xf numFmtId="0" fontId="0" fillId="37" borderId="0" xfId="0" applyFill="1" applyAlignment="1">
      <alignment/>
    </xf>
    <xf numFmtId="0" fontId="0" fillId="37" borderId="0" xfId="0" applyFont="1" applyFill="1" applyAlignment="1">
      <alignment/>
    </xf>
    <xf numFmtId="49" fontId="0" fillId="0" borderId="0" xfId="0" applyNumberFormat="1" applyFont="1" applyAlignment="1">
      <alignment wrapText="1"/>
    </xf>
    <xf numFmtId="0" fontId="49" fillId="36" borderId="0" xfId="0" applyFont="1" applyFill="1" applyAlignment="1">
      <alignment/>
    </xf>
    <xf numFmtId="0" fontId="0" fillId="0" borderId="0" xfId="0" applyFont="1" applyAlignment="1">
      <alignment horizontal="right"/>
    </xf>
    <xf numFmtId="0" fontId="28" fillId="37" borderId="1" xfId="40" applyFont="1" applyFill="1" applyAlignment="1">
      <alignment/>
    </xf>
    <xf numFmtId="0" fontId="0" fillId="0" borderId="0" xfId="0" applyFont="1" applyFill="1" applyBorder="1" applyAlignment="1">
      <alignment/>
    </xf>
    <xf numFmtId="1" fontId="0" fillId="0" borderId="0" xfId="0" applyNumberFormat="1" applyFont="1" applyAlignment="1">
      <alignment/>
    </xf>
    <xf numFmtId="0" fontId="0" fillId="38" borderId="0" xfId="0" applyFont="1" applyFill="1" applyAlignment="1">
      <alignment/>
    </xf>
    <xf numFmtId="1" fontId="0" fillId="38" borderId="0" xfId="0" applyNumberFormat="1" applyFill="1" applyAlignment="1">
      <alignment/>
    </xf>
    <xf numFmtId="1" fontId="0" fillId="0" borderId="0" xfId="0" applyNumberFormat="1" applyAlignment="1">
      <alignment horizontal="right"/>
    </xf>
    <xf numFmtId="1" fontId="0" fillId="39" borderId="12" xfId="0" applyNumberFormat="1" applyFill="1" applyBorder="1" applyAlignment="1">
      <alignment/>
    </xf>
    <xf numFmtId="1" fontId="0" fillId="39" borderId="0" xfId="0" applyNumberFormat="1" applyFill="1" applyAlignment="1">
      <alignment/>
    </xf>
    <xf numFmtId="0" fontId="0" fillId="40" borderId="0" xfId="0" applyFont="1" applyFill="1" applyAlignment="1">
      <alignment/>
    </xf>
    <xf numFmtId="0" fontId="0" fillId="40" borderId="12" xfId="0" applyFill="1" applyBorder="1" applyAlignment="1">
      <alignment/>
    </xf>
    <xf numFmtId="0" fontId="0" fillId="40" borderId="10" xfId="0" applyFill="1" applyBorder="1" applyAlignment="1">
      <alignment/>
    </xf>
    <xf numFmtId="1" fontId="0" fillId="10" borderId="12" xfId="0" applyNumberFormat="1" applyFill="1" applyBorder="1" applyAlignment="1">
      <alignment/>
    </xf>
    <xf numFmtId="0" fontId="0" fillId="36" borderId="0" xfId="0" applyFill="1" applyAlignment="1">
      <alignment horizontal="center"/>
    </xf>
    <xf numFmtId="0" fontId="0" fillId="33" borderId="13" xfId="0" applyFont="1" applyFill="1" applyBorder="1" applyAlignment="1">
      <alignment horizontal="center"/>
    </xf>
    <xf numFmtId="0" fontId="0" fillId="36" borderId="0" xfId="0" applyFont="1" applyFill="1" applyAlignment="1">
      <alignment horizontal="center"/>
    </xf>
    <xf numFmtId="0" fontId="0" fillId="10" borderId="0" xfId="0" applyFont="1"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6"/>
  <sheetViews>
    <sheetView tabSelected="1" zoomScalePageLayoutView="0" workbookViewId="0" topLeftCell="A49">
      <selection activeCell="I124" sqref="I124"/>
    </sheetView>
  </sheetViews>
  <sheetFormatPr defaultColWidth="9.140625" defaultRowHeight="12.75"/>
  <cols>
    <col min="1" max="1" width="34.00390625" style="0" customWidth="1"/>
    <col min="2" max="2" width="13.28125" style="0" customWidth="1"/>
    <col min="3" max="3" width="10.140625" style="0" customWidth="1"/>
    <col min="4" max="4" width="13.140625" style="0" customWidth="1"/>
    <col min="5" max="5" width="11.57421875" style="0" bestFit="1" customWidth="1"/>
    <col min="6" max="6" width="8.421875" style="0" customWidth="1"/>
    <col min="8" max="8" width="8.57421875" style="0" customWidth="1"/>
    <col min="10" max="10" width="11.28125" style="0" customWidth="1"/>
  </cols>
  <sheetData>
    <row r="1" spans="1:2" ht="18.75">
      <c r="A1" s="13" t="s">
        <v>46</v>
      </c>
      <c r="B1" t="s">
        <v>76</v>
      </c>
    </row>
    <row r="2" ht="18.75">
      <c r="A2" s="13"/>
    </row>
    <row r="3" spans="1:2" ht="18.75">
      <c r="A3" s="13"/>
      <c r="B3" s="19" t="s">
        <v>99</v>
      </c>
    </row>
    <row r="4" spans="1:2" ht="18.75">
      <c r="A4" s="13"/>
      <c r="B4" s="19" t="s">
        <v>110</v>
      </c>
    </row>
    <row r="5" spans="1:2" ht="18.75">
      <c r="A5" s="13"/>
      <c r="B5" s="19" t="s">
        <v>111</v>
      </c>
    </row>
    <row r="6" spans="1:2" ht="18.75">
      <c r="A6" s="13"/>
      <c r="B6" s="19" t="s">
        <v>100</v>
      </c>
    </row>
    <row r="7" spans="1:2" ht="18.75">
      <c r="A7" s="13"/>
      <c r="B7" s="19" t="s">
        <v>64</v>
      </c>
    </row>
    <row r="8" spans="1:2" ht="18.75">
      <c r="A8" s="13"/>
      <c r="B8" s="19" t="s">
        <v>70</v>
      </c>
    </row>
    <row r="9" spans="1:2" ht="18.75">
      <c r="A9" s="13"/>
      <c r="B9" t="s">
        <v>47</v>
      </c>
    </row>
    <row r="10" spans="1:2" ht="18.75">
      <c r="A10" s="13"/>
      <c r="B10" t="s">
        <v>62</v>
      </c>
    </row>
    <row r="11" spans="1:2" ht="18.75">
      <c r="A11" s="13"/>
      <c r="B11" t="s">
        <v>63</v>
      </c>
    </row>
    <row r="15" spans="1:10" ht="18.75">
      <c r="A15" s="13" t="s">
        <v>40</v>
      </c>
      <c r="J15" s="13" t="s">
        <v>52</v>
      </c>
    </row>
    <row r="16" ht="12.75">
      <c r="K16" t="s">
        <v>17</v>
      </c>
    </row>
    <row r="17" spans="1:11" ht="12.75">
      <c r="A17" s="23" t="s">
        <v>27</v>
      </c>
      <c r="B17" s="22"/>
      <c r="C17" s="22"/>
      <c r="K17" t="s">
        <v>19</v>
      </c>
    </row>
    <row r="18" ht="12.75">
      <c r="K18" t="s">
        <v>20</v>
      </c>
    </row>
    <row r="19" spans="1:11" ht="12.75">
      <c r="A19" s="19" t="s">
        <v>28</v>
      </c>
      <c r="B19">
        <f>C19*12.6</f>
        <v>63</v>
      </c>
      <c r="C19" s="22">
        <v>5</v>
      </c>
      <c r="D19" t="s">
        <v>77</v>
      </c>
      <c r="K19" t="s">
        <v>22</v>
      </c>
    </row>
    <row r="20" spans="1:4" ht="12.75">
      <c r="A20" s="19" t="s">
        <v>94</v>
      </c>
      <c r="B20" s="22">
        <v>205</v>
      </c>
      <c r="D20" t="s">
        <v>106</v>
      </c>
    </row>
    <row r="21" spans="1:4" ht="12.75">
      <c r="A21" s="19" t="s">
        <v>23</v>
      </c>
      <c r="B21" s="22">
        <v>5.7</v>
      </c>
      <c r="D21" s="19" t="s">
        <v>107</v>
      </c>
    </row>
    <row r="22" spans="1:4" ht="12.75">
      <c r="A22" t="s">
        <v>1</v>
      </c>
      <c r="B22" s="22">
        <v>125</v>
      </c>
      <c r="D22" t="s">
        <v>59</v>
      </c>
    </row>
    <row r="23" spans="1:4" ht="12.75">
      <c r="A23" t="s">
        <v>2</v>
      </c>
      <c r="B23" s="22">
        <v>5</v>
      </c>
      <c r="D23" t="s">
        <v>58</v>
      </c>
    </row>
    <row r="24" spans="1:4" ht="12.75">
      <c r="A24" t="s">
        <v>4</v>
      </c>
      <c r="B24" s="22">
        <v>0.85</v>
      </c>
      <c r="D24" t="s">
        <v>108</v>
      </c>
    </row>
    <row r="25" spans="1:4" ht="12.75">
      <c r="A25" t="s">
        <v>6</v>
      </c>
      <c r="B25" s="22">
        <v>0.1</v>
      </c>
      <c r="D25" t="s">
        <v>57</v>
      </c>
    </row>
    <row r="26" spans="1:2" ht="12.75">
      <c r="A26" t="s">
        <v>11</v>
      </c>
      <c r="B26">
        <v>9.3</v>
      </c>
    </row>
    <row r="27" spans="1:4" ht="12.75">
      <c r="A27" t="s">
        <v>9</v>
      </c>
      <c r="B27">
        <v>0.6</v>
      </c>
      <c r="D27" t="s">
        <v>74</v>
      </c>
    </row>
    <row r="29" ht="18.75">
      <c r="A29" s="13" t="s">
        <v>37</v>
      </c>
    </row>
    <row r="30" spans="1:2" ht="18.75">
      <c r="A30" s="13"/>
      <c r="B30" t="s">
        <v>61</v>
      </c>
    </row>
    <row r="31" ht="12.75">
      <c r="B31" t="s">
        <v>75</v>
      </c>
    </row>
    <row r="33" spans="5:10" ht="12.75">
      <c r="E33" s="39" t="s">
        <v>12</v>
      </c>
      <c r="F33" s="39"/>
      <c r="G33" s="39"/>
      <c r="H33" s="39"/>
      <c r="I33" s="39"/>
      <c r="J33" s="39"/>
    </row>
    <row r="35" spans="4:11" ht="12.75">
      <c r="D35" s="4"/>
      <c r="E35" s="40" t="s">
        <v>24</v>
      </c>
      <c r="F35" s="40"/>
      <c r="G35" s="40"/>
      <c r="H35" s="40"/>
      <c r="I35" s="40"/>
      <c r="J35" s="40"/>
      <c r="K35" t="s">
        <v>60</v>
      </c>
    </row>
    <row r="36" spans="4:11" ht="12.75">
      <c r="D36" t="s">
        <v>7</v>
      </c>
      <c r="E36" s="10">
        <v>0.5</v>
      </c>
      <c r="F36" s="10">
        <v>1</v>
      </c>
      <c r="G36" s="10">
        <v>1.5</v>
      </c>
      <c r="H36" s="10">
        <v>2</v>
      </c>
      <c r="I36" s="10">
        <v>2.5</v>
      </c>
      <c r="J36" s="10">
        <v>3</v>
      </c>
      <c r="K36" s="19" t="s">
        <v>72</v>
      </c>
    </row>
    <row r="37" spans="4:11" ht="12.75">
      <c r="D37" t="s">
        <v>0</v>
      </c>
      <c r="E37" s="8">
        <f>($B$22*E36)*0.8</f>
        <v>50</v>
      </c>
      <c r="F37" s="8">
        <f>(($B$22*$E$36)*0.5)+E37</f>
        <v>81.25</v>
      </c>
      <c r="G37" s="8">
        <f>(($B$22*$E$36)*0.3)+F37</f>
        <v>100</v>
      </c>
      <c r="H37" s="8">
        <f>(($B$22*$E$36)*0.2)+G37</f>
        <v>112.5</v>
      </c>
      <c r="I37" s="8">
        <f>(($B$22*$E$36)*0.1)+H37</f>
        <v>118.75</v>
      </c>
      <c r="J37" s="8">
        <f>(($B$22*$E$36)*0.1)+I37</f>
        <v>125</v>
      </c>
      <c r="K37" s="19" t="s">
        <v>71</v>
      </c>
    </row>
    <row r="38" spans="4:11" ht="12.75">
      <c r="D38" s="19" t="s">
        <v>91</v>
      </c>
      <c r="E38" s="8">
        <f>E37*14.4</f>
        <v>720</v>
      </c>
      <c r="F38" s="8">
        <f>F37*14.4</f>
        <v>1170</v>
      </c>
      <c r="G38" s="8">
        <f>G37*13.6</f>
        <v>1360</v>
      </c>
      <c r="H38" s="9">
        <f>H37*13.3</f>
        <v>1496.25</v>
      </c>
      <c r="I38" s="9">
        <f>I37*13.3</f>
        <v>1579.375</v>
      </c>
      <c r="J38" s="9">
        <f>J37*13.3</f>
        <v>1662.5</v>
      </c>
      <c r="K38" s="28" t="s">
        <v>92</v>
      </c>
    </row>
    <row r="39" spans="4:10" ht="12.75">
      <c r="D39" t="s">
        <v>8</v>
      </c>
      <c r="E39" s="7">
        <f aca="true" t="shared" si="0" ref="E39:J39">E36*$B$27</f>
        <v>0.3</v>
      </c>
      <c r="F39" s="7">
        <f t="shared" si="0"/>
        <v>0.6</v>
      </c>
      <c r="G39" s="7">
        <f t="shared" si="0"/>
        <v>0.8999999999999999</v>
      </c>
      <c r="H39" s="7">
        <f t="shared" si="0"/>
        <v>1.2</v>
      </c>
      <c r="I39" s="7">
        <f t="shared" si="0"/>
        <v>1.5</v>
      </c>
      <c r="J39" s="7">
        <f t="shared" si="0"/>
        <v>1.7999999999999998</v>
      </c>
    </row>
    <row r="40" spans="4:10" ht="12.75">
      <c r="D40" t="s">
        <v>10</v>
      </c>
      <c r="E40" s="6">
        <f aca="true" t="shared" si="1" ref="E40:J40">$B$26/E39</f>
        <v>31.000000000000004</v>
      </c>
      <c r="F40" s="6">
        <f t="shared" si="1"/>
        <v>15.500000000000002</v>
      </c>
      <c r="G40" s="11">
        <f t="shared" si="1"/>
        <v>10.333333333333336</v>
      </c>
      <c r="H40" s="11">
        <f t="shared" si="1"/>
        <v>7.750000000000001</v>
      </c>
      <c r="I40" s="11">
        <f t="shared" si="1"/>
        <v>6.2</v>
      </c>
      <c r="J40" s="11">
        <f t="shared" si="1"/>
        <v>5.166666666666668</v>
      </c>
    </row>
    <row r="42" spans="2:11" ht="12.75">
      <c r="B42" s="41" t="s">
        <v>97</v>
      </c>
      <c r="C42" s="41"/>
      <c r="D42" s="41"/>
      <c r="E42" s="42" t="s">
        <v>98</v>
      </c>
      <c r="F42" s="42"/>
      <c r="G42" s="42"/>
      <c r="H42" s="42"/>
      <c r="I42" s="42"/>
      <c r="J42" s="42"/>
      <c r="K42" s="19" t="s">
        <v>102</v>
      </c>
    </row>
    <row r="43" spans="1:4" ht="12.75">
      <c r="A43" s="26" t="s">
        <v>29</v>
      </c>
      <c r="B43" s="35" t="s">
        <v>30</v>
      </c>
      <c r="C43" s="36" t="s">
        <v>3</v>
      </c>
      <c r="D43" s="37" t="s">
        <v>5</v>
      </c>
    </row>
    <row r="44" spans="1:11" ht="12.75">
      <c r="A44">
        <v>1</v>
      </c>
      <c r="B44">
        <f>B21</f>
        <v>5.7</v>
      </c>
      <c r="C44" s="33">
        <f aca="true" t="shared" si="2" ref="C44:C53">(B44*$B$23)*$B$24</f>
        <v>24.224999999999998</v>
      </c>
      <c r="D44" s="5">
        <f aca="true" t="shared" si="3" ref="D44:D53">C44+C44*$B$25</f>
        <v>26.647499999999997</v>
      </c>
      <c r="E44" s="38">
        <f aca="true" t="shared" si="4" ref="E44:J44">$D$44+E37</f>
        <v>76.6475</v>
      </c>
      <c r="F44" s="38">
        <f>$D$44+F37</f>
        <v>107.8975</v>
      </c>
      <c r="G44" s="38">
        <f>$D$44+G37</f>
        <v>126.6475</v>
      </c>
      <c r="H44" s="38">
        <f t="shared" si="4"/>
        <v>139.1475</v>
      </c>
      <c r="I44" s="38">
        <f t="shared" si="4"/>
        <v>145.3975</v>
      </c>
      <c r="J44" s="38">
        <f t="shared" si="4"/>
        <v>151.6475</v>
      </c>
      <c r="K44" s="19" t="s">
        <v>103</v>
      </c>
    </row>
    <row r="45" spans="1:11" ht="12.75">
      <c r="A45">
        <v>2</v>
      </c>
      <c r="B45">
        <f>$B21*2</f>
        <v>11.4</v>
      </c>
      <c r="C45" s="33">
        <f t="shared" si="2"/>
        <v>48.449999999999996</v>
      </c>
      <c r="D45" s="5">
        <f t="shared" si="3"/>
        <v>53.294999999999995</v>
      </c>
      <c r="E45" s="38">
        <f aca="true" t="shared" si="5" ref="E45:J45">$D$45+E37</f>
        <v>103.29499999999999</v>
      </c>
      <c r="F45" s="38">
        <f>$D$45+F37</f>
        <v>134.545</v>
      </c>
      <c r="G45" s="38">
        <f>$D$45+G37</f>
        <v>153.295</v>
      </c>
      <c r="H45" s="38">
        <f t="shared" si="5"/>
        <v>165.795</v>
      </c>
      <c r="I45" s="38">
        <f t="shared" si="5"/>
        <v>172.045</v>
      </c>
      <c r="J45" s="38">
        <f t="shared" si="5"/>
        <v>178.295</v>
      </c>
      <c r="K45" s="19" t="s">
        <v>104</v>
      </c>
    </row>
    <row r="46" spans="1:11" ht="12.75">
      <c r="A46">
        <v>3</v>
      </c>
      <c r="B46">
        <f>$B21*3</f>
        <v>17.1</v>
      </c>
      <c r="C46" s="33">
        <f t="shared" si="2"/>
        <v>72.675</v>
      </c>
      <c r="D46" s="5">
        <f t="shared" si="3"/>
        <v>79.9425</v>
      </c>
      <c r="E46" s="38">
        <f>$D$46+E37</f>
        <v>129.9425</v>
      </c>
      <c r="F46" s="38">
        <f>$D$46+F37</f>
        <v>161.1925</v>
      </c>
      <c r="G46" s="38">
        <f>$C$46+G37</f>
        <v>172.675</v>
      </c>
      <c r="H46" s="38">
        <f>$C$46+H37</f>
        <v>185.175</v>
      </c>
      <c r="I46" s="38">
        <f>$C$46+I37</f>
        <v>191.425</v>
      </c>
      <c r="J46" s="38">
        <f>$C$46+J37</f>
        <v>197.675</v>
      </c>
      <c r="K46" s="19" t="s">
        <v>105</v>
      </c>
    </row>
    <row r="47" spans="1:11" ht="12.75">
      <c r="A47">
        <v>4</v>
      </c>
      <c r="B47">
        <f>$B21*4</f>
        <v>22.8</v>
      </c>
      <c r="C47" s="33">
        <f t="shared" si="2"/>
        <v>96.89999999999999</v>
      </c>
      <c r="D47" s="5">
        <f t="shared" si="3"/>
        <v>106.58999999999999</v>
      </c>
      <c r="E47" s="38">
        <f>$D$47+E37</f>
        <v>156.58999999999997</v>
      </c>
      <c r="F47" s="38">
        <f>$C$47+F37</f>
        <v>178.14999999999998</v>
      </c>
      <c r="G47" s="38">
        <f>$C$47+G37</f>
        <v>196.89999999999998</v>
      </c>
      <c r="H47" s="38">
        <f>$C$47+H37</f>
        <v>209.39999999999998</v>
      </c>
      <c r="I47" s="38">
        <f>$C$47+I37</f>
        <v>215.64999999999998</v>
      </c>
      <c r="J47" s="38">
        <f>$C$47+J37</f>
        <v>221.89999999999998</v>
      </c>
      <c r="K47" s="28" t="s">
        <v>67</v>
      </c>
    </row>
    <row r="48" spans="1:11" ht="12.75">
      <c r="A48">
        <v>5</v>
      </c>
      <c r="B48">
        <f>$B21*5</f>
        <v>28.5</v>
      </c>
      <c r="C48" s="33">
        <f t="shared" si="2"/>
        <v>121.125</v>
      </c>
      <c r="D48" s="5">
        <f t="shared" si="3"/>
        <v>133.2375</v>
      </c>
      <c r="E48" s="38">
        <f aca="true" t="shared" si="6" ref="E48:J48">$D$48+E37</f>
        <v>183.2375</v>
      </c>
      <c r="F48" s="38">
        <f>$D$48+F37</f>
        <v>214.4875</v>
      </c>
      <c r="G48" s="38">
        <f>$D$48+G37</f>
        <v>233.2375</v>
      </c>
      <c r="H48" s="38">
        <f t="shared" si="6"/>
        <v>245.7375</v>
      </c>
      <c r="I48" s="38">
        <f t="shared" si="6"/>
        <v>251.9875</v>
      </c>
      <c r="J48" s="38">
        <f t="shared" si="6"/>
        <v>258.2375</v>
      </c>
      <c r="K48" s="28" t="s">
        <v>68</v>
      </c>
    </row>
    <row r="49" spans="1:10" ht="12.75">
      <c r="A49">
        <v>6</v>
      </c>
      <c r="B49">
        <f>$B21*6</f>
        <v>34.2</v>
      </c>
      <c r="C49" s="33">
        <f t="shared" si="2"/>
        <v>145.35</v>
      </c>
      <c r="D49" s="5">
        <f t="shared" si="3"/>
        <v>159.885</v>
      </c>
      <c r="E49" s="38">
        <f aca="true" t="shared" si="7" ref="E49:J49">$D$49+E37</f>
        <v>209.885</v>
      </c>
      <c r="F49" s="38">
        <f>$D$49+F37</f>
        <v>241.135</v>
      </c>
      <c r="G49" s="38">
        <f>$D$49+G37</f>
        <v>259.885</v>
      </c>
      <c r="H49" s="38">
        <f t="shared" si="7"/>
        <v>272.385</v>
      </c>
      <c r="I49" s="38">
        <f t="shared" si="7"/>
        <v>278.635</v>
      </c>
      <c r="J49" s="38">
        <f t="shared" si="7"/>
        <v>284.885</v>
      </c>
    </row>
    <row r="50" spans="1:10" ht="12.75">
      <c r="A50">
        <v>7</v>
      </c>
      <c r="B50">
        <f>$B21*7</f>
        <v>39.9</v>
      </c>
      <c r="C50" s="33">
        <f t="shared" si="2"/>
        <v>169.575</v>
      </c>
      <c r="D50" s="5">
        <f t="shared" si="3"/>
        <v>186.5325</v>
      </c>
      <c r="E50" s="38">
        <f aca="true" t="shared" si="8" ref="E50:J50">$D$50+E37</f>
        <v>236.5325</v>
      </c>
      <c r="F50" s="38">
        <f>$D$50+F37</f>
        <v>267.7825</v>
      </c>
      <c r="G50" s="38">
        <f>$D$50+G37</f>
        <v>286.5325</v>
      </c>
      <c r="H50" s="38">
        <f t="shared" si="8"/>
        <v>299.0325</v>
      </c>
      <c r="I50" s="38">
        <f t="shared" si="8"/>
        <v>305.2825</v>
      </c>
      <c r="J50" s="38">
        <f t="shared" si="8"/>
        <v>311.5325</v>
      </c>
    </row>
    <row r="51" spans="1:10" ht="12.75">
      <c r="A51">
        <v>8</v>
      </c>
      <c r="B51">
        <f>$B21*8</f>
        <v>45.6</v>
      </c>
      <c r="C51" s="33">
        <f t="shared" si="2"/>
        <v>193.79999999999998</v>
      </c>
      <c r="D51" s="5">
        <f t="shared" si="3"/>
        <v>213.17999999999998</v>
      </c>
      <c r="E51" s="38">
        <f aca="true" t="shared" si="9" ref="E51:J51">$D$51+E37</f>
        <v>263.17999999999995</v>
      </c>
      <c r="F51" s="38">
        <f>$D$51+F37</f>
        <v>294.42999999999995</v>
      </c>
      <c r="G51" s="38">
        <f>$D$51+G37</f>
        <v>313.17999999999995</v>
      </c>
      <c r="H51" s="38">
        <f t="shared" si="9"/>
        <v>325.67999999999995</v>
      </c>
      <c r="I51" s="38">
        <f t="shared" si="9"/>
        <v>331.92999999999995</v>
      </c>
      <c r="J51" s="38">
        <f t="shared" si="9"/>
        <v>338.17999999999995</v>
      </c>
    </row>
    <row r="52" spans="1:10" ht="12.75">
      <c r="A52">
        <v>9</v>
      </c>
      <c r="B52">
        <f>$B21*9</f>
        <v>51.300000000000004</v>
      </c>
      <c r="C52" s="33">
        <f t="shared" si="2"/>
        <v>218.025</v>
      </c>
      <c r="D52" s="5">
        <f t="shared" si="3"/>
        <v>239.82750000000001</v>
      </c>
      <c r="E52" s="38">
        <f aca="true" t="shared" si="10" ref="E52:J52">$D$52+E37</f>
        <v>289.8275</v>
      </c>
      <c r="F52" s="38">
        <f>$D$52+F37</f>
        <v>321.0775</v>
      </c>
      <c r="G52" s="38">
        <f>$D$52+G37</f>
        <v>339.8275</v>
      </c>
      <c r="H52" s="38">
        <f t="shared" si="10"/>
        <v>352.3275</v>
      </c>
      <c r="I52" s="38">
        <f t="shared" si="10"/>
        <v>358.5775</v>
      </c>
      <c r="J52" s="38">
        <f t="shared" si="10"/>
        <v>364.8275</v>
      </c>
    </row>
    <row r="53" spans="1:10" ht="12.75">
      <c r="A53">
        <v>10</v>
      </c>
      <c r="B53">
        <f>$B21*10</f>
        <v>57</v>
      </c>
      <c r="C53" s="33">
        <f t="shared" si="2"/>
        <v>242.25</v>
      </c>
      <c r="D53" s="5">
        <f t="shared" si="3"/>
        <v>266.475</v>
      </c>
      <c r="E53" s="38">
        <f aca="true" t="shared" si="11" ref="E53:J53">$D$53+E37</f>
        <v>316.475</v>
      </c>
      <c r="F53" s="38">
        <f>$D$53+F37</f>
        <v>347.725</v>
      </c>
      <c r="G53" s="38">
        <f>$D$53+G37</f>
        <v>366.475</v>
      </c>
      <c r="H53" s="38">
        <f t="shared" si="11"/>
        <v>378.975</v>
      </c>
      <c r="I53" s="38">
        <f t="shared" si="11"/>
        <v>385.225</v>
      </c>
      <c r="J53" s="38">
        <f t="shared" si="11"/>
        <v>391.475</v>
      </c>
    </row>
    <row r="56" spans="2:11" ht="12.75">
      <c r="B56" s="41" t="s">
        <v>96</v>
      </c>
      <c r="C56" s="41"/>
      <c r="D56" s="41"/>
      <c r="E56" s="42" t="s">
        <v>95</v>
      </c>
      <c r="F56" s="42"/>
      <c r="G56" s="42"/>
      <c r="H56" s="42"/>
      <c r="I56" s="42"/>
      <c r="J56" s="42"/>
      <c r="K56" s="19" t="s">
        <v>101</v>
      </c>
    </row>
    <row r="57" spans="1:12" ht="12.75">
      <c r="A57" s="26" t="s">
        <v>29</v>
      </c>
      <c r="B57" s="35" t="s">
        <v>93</v>
      </c>
      <c r="C57" s="35" t="s">
        <v>3</v>
      </c>
      <c r="D57" s="35" t="s">
        <v>5</v>
      </c>
      <c r="L57" t="s">
        <v>109</v>
      </c>
    </row>
    <row r="58" spans="1:10" ht="12.75">
      <c r="A58">
        <v>1</v>
      </c>
      <c r="B58">
        <f>$B$20</f>
        <v>205</v>
      </c>
      <c r="C58" s="34">
        <f>(B58*$B$23)*$B$24</f>
        <v>871.25</v>
      </c>
      <c r="D58" s="1">
        <f>C58+(C58*$B$25)</f>
        <v>958.375</v>
      </c>
      <c r="E58" s="38">
        <f aca="true" t="shared" si="12" ref="E58:J58">$D$58+E38</f>
        <v>1678.375</v>
      </c>
      <c r="F58" s="38">
        <f t="shared" si="12"/>
        <v>2128.375</v>
      </c>
      <c r="G58" s="38">
        <f t="shared" si="12"/>
        <v>2318.375</v>
      </c>
      <c r="H58" s="38">
        <f t="shared" si="12"/>
        <v>2454.625</v>
      </c>
      <c r="I58" s="38">
        <f t="shared" si="12"/>
        <v>2537.75</v>
      </c>
      <c r="J58" s="38">
        <f t="shared" si="12"/>
        <v>2620.875</v>
      </c>
    </row>
    <row r="59" spans="1:10" ht="12.75">
      <c r="A59">
        <v>2</v>
      </c>
      <c r="B59">
        <f>$B$20*A59</f>
        <v>410</v>
      </c>
      <c r="C59" s="34">
        <f aca="true" t="shared" si="13" ref="C59:C67">(B59*$B$23)*$B$24</f>
        <v>1742.5</v>
      </c>
      <c r="D59" s="1">
        <f aca="true" t="shared" si="14" ref="D59:D67">C59+(C59*$B$25)</f>
        <v>1916.75</v>
      </c>
      <c r="E59" s="38">
        <f aca="true" t="shared" si="15" ref="E59:J59">$D$59+E38</f>
        <v>2636.75</v>
      </c>
      <c r="F59" s="38">
        <f t="shared" si="15"/>
        <v>3086.75</v>
      </c>
      <c r="G59" s="38">
        <f t="shared" si="15"/>
        <v>3276.75</v>
      </c>
      <c r="H59" s="38">
        <f t="shared" si="15"/>
        <v>3413</v>
      </c>
      <c r="I59" s="38">
        <f t="shared" si="15"/>
        <v>3496.125</v>
      </c>
      <c r="J59" s="38">
        <f t="shared" si="15"/>
        <v>3579.25</v>
      </c>
    </row>
    <row r="60" spans="1:10" ht="12.75">
      <c r="A60">
        <v>3</v>
      </c>
      <c r="B60">
        <f aca="true" t="shared" si="16" ref="B60:B67">$B$20*A60</f>
        <v>615</v>
      </c>
      <c r="C60" s="34">
        <f t="shared" si="13"/>
        <v>2613.75</v>
      </c>
      <c r="D60" s="1">
        <f t="shared" si="14"/>
        <v>2875.125</v>
      </c>
      <c r="E60" s="38">
        <f aca="true" t="shared" si="17" ref="E60:J60">$D$60+E38</f>
        <v>3595.125</v>
      </c>
      <c r="F60" s="38">
        <f t="shared" si="17"/>
        <v>4045.125</v>
      </c>
      <c r="G60" s="38">
        <f t="shared" si="17"/>
        <v>4235.125</v>
      </c>
      <c r="H60" s="38">
        <f t="shared" si="17"/>
        <v>4371.375</v>
      </c>
      <c r="I60" s="38">
        <f t="shared" si="17"/>
        <v>4454.5</v>
      </c>
      <c r="J60" s="38">
        <f t="shared" si="17"/>
        <v>4537.625</v>
      </c>
    </row>
    <row r="61" spans="1:10" ht="12.75">
      <c r="A61">
        <v>4</v>
      </c>
      <c r="B61">
        <f t="shared" si="16"/>
        <v>820</v>
      </c>
      <c r="C61" s="34">
        <f t="shared" si="13"/>
        <v>3485</v>
      </c>
      <c r="D61" s="1">
        <f t="shared" si="14"/>
        <v>3833.5</v>
      </c>
      <c r="E61" s="38">
        <f aca="true" t="shared" si="18" ref="E61:J61">$D$61+E38</f>
        <v>4553.5</v>
      </c>
      <c r="F61" s="38">
        <f t="shared" si="18"/>
        <v>5003.5</v>
      </c>
      <c r="G61" s="38">
        <f t="shared" si="18"/>
        <v>5193.5</v>
      </c>
      <c r="H61" s="38">
        <f t="shared" si="18"/>
        <v>5329.75</v>
      </c>
      <c r="I61" s="38">
        <f t="shared" si="18"/>
        <v>5412.875</v>
      </c>
      <c r="J61" s="38">
        <f t="shared" si="18"/>
        <v>5496</v>
      </c>
    </row>
    <row r="62" spans="1:10" ht="12.75">
      <c r="A62">
        <v>5</v>
      </c>
      <c r="B62">
        <f t="shared" si="16"/>
        <v>1025</v>
      </c>
      <c r="C62" s="34">
        <f t="shared" si="13"/>
        <v>4356.25</v>
      </c>
      <c r="D62" s="1">
        <f t="shared" si="14"/>
        <v>4791.875</v>
      </c>
      <c r="E62" s="38">
        <f aca="true" t="shared" si="19" ref="E62:J62">$D$62+E38</f>
        <v>5511.875</v>
      </c>
      <c r="F62" s="38">
        <f t="shared" si="19"/>
        <v>5961.875</v>
      </c>
      <c r="G62" s="38">
        <f t="shared" si="19"/>
        <v>6151.875</v>
      </c>
      <c r="H62" s="38">
        <f t="shared" si="19"/>
        <v>6288.125</v>
      </c>
      <c r="I62" s="38">
        <f t="shared" si="19"/>
        <v>6371.25</v>
      </c>
      <c r="J62" s="38">
        <f t="shared" si="19"/>
        <v>6454.375</v>
      </c>
    </row>
    <row r="63" spans="1:10" ht="12.75">
      <c r="A63">
        <v>6</v>
      </c>
      <c r="B63">
        <f t="shared" si="16"/>
        <v>1230</v>
      </c>
      <c r="C63" s="34">
        <f t="shared" si="13"/>
        <v>5227.5</v>
      </c>
      <c r="D63" s="1">
        <f t="shared" si="14"/>
        <v>5750.25</v>
      </c>
      <c r="E63" s="38">
        <f aca="true" t="shared" si="20" ref="E63:J63">$D$63+E38</f>
        <v>6470.25</v>
      </c>
      <c r="F63" s="38">
        <f t="shared" si="20"/>
        <v>6920.25</v>
      </c>
      <c r="G63" s="38">
        <f t="shared" si="20"/>
        <v>7110.25</v>
      </c>
      <c r="H63" s="38">
        <f t="shared" si="20"/>
        <v>7246.5</v>
      </c>
      <c r="I63" s="38">
        <f t="shared" si="20"/>
        <v>7329.625</v>
      </c>
      <c r="J63" s="38">
        <f t="shared" si="20"/>
        <v>7412.75</v>
      </c>
    </row>
    <row r="64" spans="1:10" ht="12.75">
      <c r="A64">
        <v>7</v>
      </c>
      <c r="B64">
        <f t="shared" si="16"/>
        <v>1435</v>
      </c>
      <c r="C64" s="34">
        <f t="shared" si="13"/>
        <v>6098.75</v>
      </c>
      <c r="D64" s="1">
        <f t="shared" si="14"/>
        <v>6708.625</v>
      </c>
      <c r="E64" s="38">
        <f aca="true" t="shared" si="21" ref="E64:J64">$D$64+E38</f>
        <v>7428.625</v>
      </c>
      <c r="F64" s="38">
        <f t="shared" si="21"/>
        <v>7878.625</v>
      </c>
      <c r="G64" s="38">
        <f t="shared" si="21"/>
        <v>8068.625</v>
      </c>
      <c r="H64" s="38">
        <f t="shared" si="21"/>
        <v>8204.875</v>
      </c>
      <c r="I64" s="38">
        <f t="shared" si="21"/>
        <v>8288</v>
      </c>
      <c r="J64" s="38">
        <f t="shared" si="21"/>
        <v>8371.125</v>
      </c>
    </row>
    <row r="65" spans="1:10" ht="12.75">
      <c r="A65">
        <v>8</v>
      </c>
      <c r="B65">
        <f t="shared" si="16"/>
        <v>1640</v>
      </c>
      <c r="C65" s="34">
        <f t="shared" si="13"/>
        <v>6970</v>
      </c>
      <c r="D65" s="1">
        <f t="shared" si="14"/>
        <v>7667</v>
      </c>
      <c r="E65" s="38">
        <f aca="true" t="shared" si="22" ref="E65:J65">$D$65+E38</f>
        <v>8387</v>
      </c>
      <c r="F65" s="38">
        <f t="shared" si="22"/>
        <v>8837</v>
      </c>
      <c r="G65" s="38">
        <f t="shared" si="22"/>
        <v>9027</v>
      </c>
      <c r="H65" s="38">
        <f t="shared" si="22"/>
        <v>9163.25</v>
      </c>
      <c r="I65" s="38">
        <f t="shared" si="22"/>
        <v>9246.375</v>
      </c>
      <c r="J65" s="38">
        <f t="shared" si="22"/>
        <v>9329.5</v>
      </c>
    </row>
    <row r="66" spans="1:10" ht="12.75">
      <c r="A66">
        <v>9</v>
      </c>
      <c r="B66">
        <f t="shared" si="16"/>
        <v>1845</v>
      </c>
      <c r="C66" s="34">
        <f t="shared" si="13"/>
        <v>7841.25</v>
      </c>
      <c r="D66" s="1">
        <f t="shared" si="14"/>
        <v>8625.375</v>
      </c>
      <c r="E66" s="38">
        <f aca="true" t="shared" si="23" ref="E66:J66">$D$66+E38</f>
        <v>9345.375</v>
      </c>
      <c r="F66" s="38">
        <f t="shared" si="23"/>
        <v>9795.375</v>
      </c>
      <c r="G66" s="38">
        <f t="shared" si="23"/>
        <v>9985.375</v>
      </c>
      <c r="H66" s="38">
        <f t="shared" si="23"/>
        <v>10121.625</v>
      </c>
      <c r="I66" s="38">
        <f t="shared" si="23"/>
        <v>10204.75</v>
      </c>
      <c r="J66" s="38">
        <f t="shared" si="23"/>
        <v>10287.875</v>
      </c>
    </row>
    <row r="67" spans="1:10" ht="12.75">
      <c r="A67">
        <v>10</v>
      </c>
      <c r="B67">
        <f t="shared" si="16"/>
        <v>2050</v>
      </c>
      <c r="C67" s="34">
        <f t="shared" si="13"/>
        <v>8712.5</v>
      </c>
      <c r="D67" s="1">
        <f t="shared" si="14"/>
        <v>9583.75</v>
      </c>
      <c r="E67" s="38">
        <f aca="true" t="shared" si="24" ref="E67:J67">$D$67+E38</f>
        <v>10303.75</v>
      </c>
      <c r="F67" s="38">
        <f t="shared" si="24"/>
        <v>10753.75</v>
      </c>
      <c r="G67" s="38">
        <f t="shared" si="24"/>
        <v>10943.75</v>
      </c>
      <c r="H67" s="38">
        <f t="shared" si="24"/>
        <v>11080</v>
      </c>
      <c r="I67" s="38">
        <f t="shared" si="24"/>
        <v>11163.125</v>
      </c>
      <c r="J67" s="38">
        <f t="shared" si="24"/>
        <v>11246.25</v>
      </c>
    </row>
    <row r="68" spans="3:4" ht="12.75">
      <c r="C68" s="1"/>
      <c r="D68" s="1"/>
    </row>
    <row r="69" spans="3:4" ht="12.75">
      <c r="C69" s="1"/>
      <c r="D69" s="1"/>
    </row>
    <row r="70" spans="1:6" ht="18.75">
      <c r="A70" s="13" t="s">
        <v>38</v>
      </c>
      <c r="F70" s="1"/>
    </row>
    <row r="71" ht="12.75">
      <c r="I71" s="17"/>
    </row>
    <row r="72" ht="12.75">
      <c r="F72" s="1"/>
    </row>
    <row r="73" ht="12.75">
      <c r="A73" s="23" t="s">
        <v>27</v>
      </c>
    </row>
    <row r="74" spans="4:5" ht="12.75">
      <c r="D74" s="1"/>
      <c r="E74" s="3"/>
    </row>
    <row r="75" spans="2:6" ht="12.75">
      <c r="B75" s="21" t="s">
        <v>78</v>
      </c>
      <c r="C75" s="21" t="s">
        <v>25</v>
      </c>
      <c r="D75" s="2"/>
      <c r="E75" s="2"/>
      <c r="F75" s="1"/>
    </row>
    <row r="76" spans="1:5" ht="15">
      <c r="A76" s="19" t="s">
        <v>26</v>
      </c>
      <c r="B76" s="27">
        <v>1506</v>
      </c>
      <c r="C76" s="1">
        <f>B76/12.6</f>
        <v>119.52380952380953</v>
      </c>
      <c r="D76" s="1"/>
      <c r="E76" s="29" t="s">
        <v>90</v>
      </c>
    </row>
    <row r="77" spans="1:5" ht="15">
      <c r="A77" s="19" t="s">
        <v>43</v>
      </c>
      <c r="B77">
        <f>C77*12.6</f>
        <v>1512</v>
      </c>
      <c r="C77" s="27">
        <v>120</v>
      </c>
      <c r="E77" s="19" t="s">
        <v>65</v>
      </c>
    </row>
    <row r="78" spans="1:5" ht="12.75">
      <c r="A78" s="19" t="s">
        <v>42</v>
      </c>
      <c r="B78" s="1">
        <f>(C78*12.6)</f>
        <v>756</v>
      </c>
      <c r="C78">
        <f>C19*12</f>
        <v>60</v>
      </c>
      <c r="E78" s="19" t="s">
        <v>49</v>
      </c>
    </row>
    <row r="79" spans="1:5" ht="15">
      <c r="A79" s="19" t="s">
        <v>41</v>
      </c>
      <c r="B79" s="1">
        <f>C79*12.6</f>
        <v>1260</v>
      </c>
      <c r="C79" s="27">
        <v>100</v>
      </c>
      <c r="E79" s="19" t="s">
        <v>48</v>
      </c>
    </row>
    <row r="80" spans="1:5" ht="12.75">
      <c r="A80" s="30" t="s">
        <v>36</v>
      </c>
      <c r="B80" s="31">
        <f>SUM(B76:B79)</f>
        <v>5034</v>
      </c>
      <c r="C80" s="31">
        <f>SUM(C76:C79)</f>
        <v>399.5238095238095</v>
      </c>
      <c r="D80" s="1"/>
      <c r="E80" s="3"/>
    </row>
    <row r="82" spans="6:9" ht="15">
      <c r="F82" s="1"/>
      <c r="I82" s="12"/>
    </row>
    <row r="83" ht="12.75">
      <c r="F83" s="1"/>
    </row>
    <row r="84" ht="15.75">
      <c r="A84" s="25" t="s">
        <v>13</v>
      </c>
    </row>
    <row r="85" spans="3:5" ht="51">
      <c r="C85" s="14"/>
      <c r="D85" s="14"/>
      <c r="E85" s="20" t="s">
        <v>79</v>
      </c>
    </row>
    <row r="87" spans="2:7" ht="12.75">
      <c r="B87" t="s">
        <v>14</v>
      </c>
      <c r="C87" t="s">
        <v>15</v>
      </c>
      <c r="G87" t="s">
        <v>73</v>
      </c>
    </row>
    <row r="88" spans="2:7" ht="12.75">
      <c r="B88" t="s">
        <v>53</v>
      </c>
      <c r="C88">
        <v>459</v>
      </c>
      <c r="G88" t="s">
        <v>80</v>
      </c>
    </row>
    <row r="89" spans="2:7" ht="12.75">
      <c r="B89" t="s">
        <v>16</v>
      </c>
      <c r="C89" s="15">
        <f>C88/365</f>
        <v>1.2575342465753425</v>
      </c>
      <c r="E89" s="1">
        <f>C89*1000</f>
        <v>1257.5342465753424</v>
      </c>
      <c r="G89" t="s">
        <v>81</v>
      </c>
    </row>
    <row r="90" spans="2:7" ht="12.75">
      <c r="B90" t="s">
        <v>18</v>
      </c>
      <c r="C90" s="16">
        <f>E89/120</f>
        <v>10.47945205479452</v>
      </c>
      <c r="G90" t="s">
        <v>55</v>
      </c>
    </row>
    <row r="91" spans="2:3" ht="12.75">
      <c r="B91" t="s">
        <v>54</v>
      </c>
      <c r="C91">
        <f>10.5*10</f>
        <v>105</v>
      </c>
    </row>
    <row r="93" spans="2:7" ht="12.75">
      <c r="B93" t="s">
        <v>14</v>
      </c>
      <c r="C93" t="s">
        <v>21</v>
      </c>
      <c r="G93" t="s">
        <v>88</v>
      </c>
    </row>
    <row r="94" spans="2:3" ht="12.75">
      <c r="B94" t="s">
        <v>53</v>
      </c>
      <c r="C94">
        <v>445</v>
      </c>
    </row>
    <row r="95" spans="2:5" ht="12.75">
      <c r="B95" t="s">
        <v>16</v>
      </c>
      <c r="C95" s="15">
        <f>C94/365</f>
        <v>1.2191780821917808</v>
      </c>
      <c r="E95" s="1">
        <f>C95*1000</f>
        <v>1219.1780821917807</v>
      </c>
    </row>
    <row r="96" spans="2:3" ht="12.75">
      <c r="B96" t="s">
        <v>18</v>
      </c>
      <c r="C96" s="16">
        <f>1220/120</f>
        <v>10.166666666666666</v>
      </c>
    </row>
    <row r="97" spans="2:9" ht="12.75">
      <c r="B97" t="s">
        <v>54</v>
      </c>
      <c r="C97" s="1">
        <f>C96*10</f>
        <v>101.66666666666666</v>
      </c>
      <c r="I97" s="1"/>
    </row>
    <row r="99" spans="2:7" ht="12.75">
      <c r="B99" t="s">
        <v>14</v>
      </c>
      <c r="C99" t="s">
        <v>86</v>
      </c>
      <c r="G99" t="s">
        <v>87</v>
      </c>
    </row>
    <row r="100" spans="2:7" ht="12.75">
      <c r="B100" t="s">
        <v>53</v>
      </c>
      <c r="C100">
        <v>445</v>
      </c>
      <c r="G100" t="s">
        <v>56</v>
      </c>
    </row>
    <row r="101" spans="2:5" ht="12.75">
      <c r="B101" t="s">
        <v>16</v>
      </c>
      <c r="C101" s="15">
        <f>C100/365</f>
        <v>1.2191780821917808</v>
      </c>
      <c r="E101" s="1">
        <f>C101*1000</f>
        <v>1219.1780821917807</v>
      </c>
    </row>
    <row r="102" spans="2:3" ht="12.75">
      <c r="B102" t="s">
        <v>18</v>
      </c>
      <c r="C102" s="16">
        <f>E101/120</f>
        <v>10.159817351598173</v>
      </c>
    </row>
    <row r="103" spans="2:3" ht="12.75">
      <c r="B103" t="s">
        <v>54</v>
      </c>
      <c r="C103" s="1">
        <f>C102*10</f>
        <v>101.59817351598173</v>
      </c>
    </row>
    <row r="104" ht="12.75">
      <c r="C104" s="1"/>
    </row>
    <row r="105" spans="2:7" ht="12.75">
      <c r="B105" t="s">
        <v>14</v>
      </c>
      <c r="C105" t="s">
        <v>84</v>
      </c>
      <c r="G105" t="s">
        <v>85</v>
      </c>
    </row>
    <row r="106" spans="2:3" ht="12.75">
      <c r="B106" t="s">
        <v>53</v>
      </c>
      <c r="C106">
        <v>537</v>
      </c>
    </row>
    <row r="107" spans="2:5" ht="12.75">
      <c r="B107" t="s">
        <v>16</v>
      </c>
      <c r="C107" s="15">
        <f>C106/365</f>
        <v>1.4712328767123288</v>
      </c>
      <c r="E107" s="1">
        <f>C107*1000</f>
        <v>1471.2328767123288</v>
      </c>
    </row>
    <row r="108" spans="2:3" ht="12.75">
      <c r="B108" t="s">
        <v>18</v>
      </c>
      <c r="C108" s="16">
        <f>E107/120</f>
        <v>12.26027397260274</v>
      </c>
    </row>
    <row r="109" spans="2:3" ht="12.75">
      <c r="B109" t="s">
        <v>54</v>
      </c>
      <c r="C109" s="1">
        <f>C108*10</f>
        <v>122.6027397260274</v>
      </c>
    </row>
    <row r="110" ht="12.75">
      <c r="C110" s="1"/>
    </row>
    <row r="111" spans="2:3" ht="12.75">
      <c r="B111" t="s">
        <v>14</v>
      </c>
      <c r="C111" t="s">
        <v>89</v>
      </c>
    </row>
    <row r="112" spans="2:3" ht="12.75">
      <c r="B112" t="s">
        <v>53</v>
      </c>
      <c r="C112">
        <v>549.69</v>
      </c>
    </row>
    <row r="113" spans="2:5" ht="12.75">
      <c r="B113" t="s">
        <v>16</v>
      </c>
      <c r="C113" s="15">
        <f>C112/365</f>
        <v>1.5060000000000002</v>
      </c>
      <c r="E113" s="1">
        <f>C113*1000</f>
        <v>1506.0000000000002</v>
      </c>
    </row>
    <row r="114" spans="2:3" ht="12.75">
      <c r="B114" t="s">
        <v>18</v>
      </c>
      <c r="C114" s="16">
        <f>E113/120</f>
        <v>12.550000000000002</v>
      </c>
    </row>
    <row r="115" spans="2:3" ht="12.75">
      <c r="B115" t="s">
        <v>54</v>
      </c>
      <c r="C115" s="1">
        <f>C114*10</f>
        <v>125.50000000000003</v>
      </c>
    </row>
    <row r="116" spans="1:8" ht="18.75">
      <c r="A116" s="13" t="s">
        <v>39</v>
      </c>
      <c r="H116" s="18"/>
    </row>
    <row r="118" ht="15.75">
      <c r="A118" s="25" t="s">
        <v>31</v>
      </c>
    </row>
    <row r="119" ht="12.75">
      <c r="B119" t="s">
        <v>82</v>
      </c>
    </row>
    <row r="121" spans="2:7" ht="38.25">
      <c r="B121" s="19" t="s">
        <v>66</v>
      </c>
      <c r="C121" s="19" t="s">
        <v>44</v>
      </c>
      <c r="D121" s="19" t="s">
        <v>45</v>
      </c>
      <c r="E121" s="24" t="s">
        <v>35</v>
      </c>
      <c r="F121" s="18" t="s">
        <v>33</v>
      </c>
      <c r="G121" s="18" t="s">
        <v>34</v>
      </c>
    </row>
    <row r="122" spans="1:9" ht="12.75">
      <c r="A122" s="19" t="s">
        <v>69</v>
      </c>
      <c r="B122" t="s">
        <v>32</v>
      </c>
      <c r="C122" s="22">
        <v>255</v>
      </c>
      <c r="D122">
        <f>C122*12.6</f>
        <v>3213</v>
      </c>
      <c r="I122" t="s">
        <v>50</v>
      </c>
    </row>
    <row r="123" spans="1:9" ht="12.75">
      <c r="A123" s="19"/>
      <c r="B123">
        <v>3</v>
      </c>
      <c r="C123">
        <f>B123*$C$122</f>
        <v>765</v>
      </c>
      <c r="D123">
        <f>C123*12.6</f>
        <v>9639</v>
      </c>
      <c r="E123" s="32">
        <f>C123/2</f>
        <v>382.5</v>
      </c>
      <c r="F123" s="1">
        <f>D123*0.5</f>
        <v>4819.5</v>
      </c>
      <c r="G123" s="1">
        <f>D123*0.3</f>
        <v>2891.7</v>
      </c>
      <c r="I123" t="s">
        <v>112</v>
      </c>
    </row>
    <row r="124" spans="2:9" ht="12.75">
      <c r="B124">
        <v>4</v>
      </c>
      <c r="C124">
        <f>B124*$C$122</f>
        <v>1020</v>
      </c>
      <c r="D124">
        <f>C124*12.6</f>
        <v>12852</v>
      </c>
      <c r="E124">
        <f>C124/2</f>
        <v>510</v>
      </c>
      <c r="F124" s="1">
        <f>D124*0.5</f>
        <v>6426</v>
      </c>
      <c r="G124" s="1">
        <f>D124*0.3</f>
        <v>3855.6</v>
      </c>
      <c r="I124" s="19" t="s">
        <v>51</v>
      </c>
    </row>
    <row r="125" spans="2:9" ht="12.75">
      <c r="B125">
        <v>6</v>
      </c>
      <c r="C125">
        <f>B125*$C$122</f>
        <v>1530</v>
      </c>
      <c r="D125">
        <f>C125*12.6</f>
        <v>19278</v>
      </c>
      <c r="E125">
        <f>C125/2</f>
        <v>765</v>
      </c>
      <c r="F125" s="1">
        <f>D125*0.5</f>
        <v>9639</v>
      </c>
      <c r="G125" s="1">
        <f>D125*0.3</f>
        <v>5783.4</v>
      </c>
      <c r="I125" t="s">
        <v>83</v>
      </c>
    </row>
    <row r="126" spans="2:7" ht="12.75">
      <c r="B126">
        <v>8</v>
      </c>
      <c r="C126">
        <f>B126*$C$122</f>
        <v>2040</v>
      </c>
      <c r="D126">
        <f>C126*12.6</f>
        <v>25704</v>
      </c>
      <c r="E126">
        <f>C126/2</f>
        <v>1020</v>
      </c>
      <c r="F126" s="1">
        <f>D126*0.5</f>
        <v>12852</v>
      </c>
      <c r="G126" s="1">
        <f>D126*0.3</f>
        <v>7711.2</v>
      </c>
    </row>
  </sheetData>
  <sheetProtection/>
  <mergeCells count="6">
    <mergeCell ref="E33:J33"/>
    <mergeCell ref="E35:J35"/>
    <mergeCell ref="B56:D56"/>
    <mergeCell ref="B42:D42"/>
    <mergeCell ref="E56:J56"/>
    <mergeCell ref="E42:J42"/>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Jack Mayer</dc:creator>
  <cp:keywords/>
  <dc:description/>
  <cp:lastModifiedBy>Jack_Mayer</cp:lastModifiedBy>
  <dcterms:created xsi:type="dcterms:W3CDTF">2005-11-22T18:29:44Z</dcterms:created>
  <dcterms:modified xsi:type="dcterms:W3CDTF">2012-01-09T23:36:09Z</dcterms:modified>
  <cp:category/>
  <cp:version/>
  <cp:contentType/>
  <cp:contentStatus/>
</cp:coreProperties>
</file>